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55" tabRatio="770" activeTab="2"/>
  </bookViews>
  <sheets>
    <sheet name="VARIABLE DE CALCUL" sheetId="1" r:id="rId1"/>
    <sheet name="DISPO RETRAITE SALARIE" sheetId="2" r:id="rId2"/>
    <sheet name="DISPO PREV SALARIE" sheetId="3" r:id="rId3"/>
    <sheet name="DISPO RETRAITE TNS" sheetId="4" r:id="rId4"/>
    <sheet name="DISPO PREV TNS" sheetId="5" r:id="rId5"/>
    <sheet name="DISPO RETRAITE PERin" sheetId="6" r:id="rId6"/>
  </sheets>
  <definedNames>
    <definedName name="_xlnm.Print_Area" localSheetId="5">'DISPO RETRAITE PERin'!$A$1:$H$27</definedName>
    <definedName name="_xlnm.Print_Area" localSheetId="3">'DISPO RETRAITE TNS'!$A$1:$H$27</definedName>
  </definedNames>
  <calcPr fullCalcOnLoad="1"/>
</workbook>
</file>

<file path=xl/sharedStrings.xml><?xml version="1.0" encoding="utf-8"?>
<sst xmlns="http://schemas.openxmlformats.org/spreadsheetml/2006/main" count="128" uniqueCount="75">
  <si>
    <t>PASS</t>
  </si>
  <si>
    <t>TA</t>
  </si>
  <si>
    <t>TB</t>
  </si>
  <si>
    <t>Montant Cotisation</t>
  </si>
  <si>
    <t>Taux SANTE S/PASS</t>
  </si>
  <si>
    <t>TOTAL</t>
  </si>
  <si>
    <t>Taux prev Rente Conjoint</t>
  </si>
  <si>
    <t>Taux prev Rente éducation</t>
  </si>
  <si>
    <t>Taux prev Décès/Incap Inval</t>
  </si>
  <si>
    <t>BASE DE GARANTIE/ Nombre de PASS</t>
  </si>
  <si>
    <t>Limite Fiscale</t>
  </si>
  <si>
    <t>TC</t>
  </si>
  <si>
    <t>Part salariale</t>
  </si>
  <si>
    <t>taux</t>
  </si>
  <si>
    <t xml:space="preserve">Part patronale </t>
  </si>
  <si>
    <t>Limite sociale (part patronale)</t>
  </si>
  <si>
    <t>Taux cotisation</t>
  </si>
  <si>
    <t>ABONDEMENT PERCO</t>
  </si>
  <si>
    <t xml:space="preserve">Taux TA </t>
  </si>
  <si>
    <t xml:space="preserve">Taux TB </t>
  </si>
  <si>
    <t xml:space="preserve">Taux TC </t>
  </si>
  <si>
    <r>
      <t>Disponible/</t>
    </r>
    <r>
      <rPr>
        <b/>
        <sz val="10"/>
        <color indexed="10"/>
        <rFont val="Trebuchet MS"/>
        <family val="2"/>
      </rPr>
      <t>Dépassement</t>
    </r>
    <r>
      <rPr>
        <b/>
        <sz val="10"/>
        <rFont val="Trebuchet MS"/>
        <family val="2"/>
      </rPr>
      <t xml:space="preserve"> social</t>
    </r>
  </si>
  <si>
    <r>
      <t>Disponible/</t>
    </r>
    <r>
      <rPr>
        <b/>
        <sz val="10"/>
        <color indexed="10"/>
        <rFont val="Trebuchet MS"/>
        <family val="2"/>
      </rPr>
      <t xml:space="preserve">Dépassement </t>
    </r>
    <r>
      <rPr>
        <b/>
        <sz val="10"/>
        <rFont val="Trebuchet MS"/>
        <family val="2"/>
      </rPr>
      <t>fiscal</t>
    </r>
  </si>
  <si>
    <r>
      <t>Disponible/</t>
    </r>
    <r>
      <rPr>
        <b/>
        <sz val="10"/>
        <color indexed="10"/>
        <rFont val="Trebuchet MS"/>
        <family val="2"/>
      </rPr>
      <t>Dépassement</t>
    </r>
    <r>
      <rPr>
        <b/>
        <sz val="10"/>
        <rFont val="Trebuchet MS"/>
        <family val="2"/>
      </rPr>
      <t xml:space="preserve"> fiscal</t>
    </r>
  </si>
  <si>
    <t xml:space="preserve">Taux prev TA Décès/Incap Inval </t>
  </si>
  <si>
    <t>Taux prev TB Décès/Incap Inval</t>
  </si>
  <si>
    <t>Taux prev TC Décès/Incap Inval</t>
  </si>
  <si>
    <t>Taux prev TA Rente éducation</t>
  </si>
  <si>
    <t>Taux prev TB Rente éducation</t>
  </si>
  <si>
    <t>Taux prev TC Rente éducation</t>
  </si>
  <si>
    <t>Taux prev TA Rente Conjoint</t>
  </si>
  <si>
    <t>Taux prev TB Rente Conjoint</t>
  </si>
  <si>
    <t>Taux prev TC Rente Conjoint</t>
  </si>
  <si>
    <t xml:space="preserve">( 3,75% revenu +7% PASS </t>
  </si>
  <si>
    <r>
      <t>Disponible</t>
    </r>
    <r>
      <rPr>
        <b/>
        <sz val="10"/>
        <color indexed="10"/>
        <rFont val="Trebuchet MS"/>
        <family val="2"/>
      </rPr>
      <t>/Dépassement</t>
    </r>
    <r>
      <rPr>
        <b/>
        <sz val="10"/>
        <rFont val="Trebuchet MS"/>
        <family val="2"/>
      </rPr>
      <t xml:space="preserve"> fiscal</t>
    </r>
  </si>
  <si>
    <r>
      <t>Disponible/</t>
    </r>
    <r>
      <rPr>
        <b/>
        <sz val="8"/>
        <color indexed="10"/>
        <rFont val="Trebuchet MS"/>
        <family val="2"/>
      </rPr>
      <t>Dépassement</t>
    </r>
    <r>
      <rPr>
        <b/>
        <sz val="8"/>
        <rFont val="Trebuchet MS"/>
        <family val="2"/>
      </rPr>
      <t xml:space="preserve"> fiscal</t>
    </r>
  </si>
  <si>
    <r>
      <t>Disponible/</t>
    </r>
    <r>
      <rPr>
        <b/>
        <sz val="8"/>
        <color indexed="10"/>
        <rFont val="Trebuchet MS"/>
        <family val="2"/>
      </rPr>
      <t>Dépassement</t>
    </r>
    <r>
      <rPr>
        <b/>
        <sz val="8"/>
        <rFont val="Trebuchet MS"/>
        <family val="2"/>
      </rPr>
      <t xml:space="preserve"> social</t>
    </r>
  </si>
  <si>
    <t>( 8% salaire brut</t>
  </si>
  <si>
    <t xml:space="preserve">( 3% salaire brut +7% PASS </t>
  </si>
  <si>
    <t xml:space="preserve">( 1,5% salaire brut +6% PASS </t>
  </si>
  <si>
    <t>SALAIRE BRUT</t>
  </si>
  <si>
    <t>(1) En l'absence de PERP individuel</t>
  </si>
  <si>
    <t>(1) Bénéfice Net : c'est le résultat fiscal (hors dividendes) reporté sur la déclaration de revenus n°2042.</t>
  </si>
  <si>
    <t>Montant du PASS :</t>
  </si>
  <si>
    <t>Année :</t>
  </si>
  <si>
    <t>Disponible fiscal et social Prévoyance collective</t>
  </si>
  <si>
    <t>Disponible fiscal Prévoyance Madelin</t>
  </si>
  <si>
    <t>Disponible fiscal Retraite Madelin</t>
  </si>
  <si>
    <t>Disponible fiscal et social Retraite collective</t>
  </si>
  <si>
    <t>RETOUR MENU</t>
  </si>
  <si>
    <t>LIENS
DIRECTS</t>
  </si>
  <si>
    <t>DISPONIBLE FISCAL PREVOYANCE MADELIN POUR UN TNS</t>
  </si>
  <si>
    <t>DISPONIBLE  FISCAL ET SOCIAL PREVOYANCE ART. 83 POUR UN SALARIE</t>
  </si>
  <si>
    <t>DISPONIBLE  FISCAL ET SOCIAL RETRAITE ART. 83 POUR UN SALARIE</t>
  </si>
  <si>
    <t>CALCUL DES DISPONIBLES FISCAUX MADELIN</t>
  </si>
  <si>
    <t>CALCUL DES DISPONIBLES FISCAUX ET SOCIAUX ART. 83</t>
  </si>
  <si>
    <t>Compléter les cellules jaunes</t>
  </si>
  <si>
    <t>Limite Fiscale Prévoyance</t>
  </si>
  <si>
    <t>Limite Fiscale Perte d'emploi</t>
  </si>
  <si>
    <t>Montant déductible</t>
  </si>
  <si>
    <r>
      <t>Pour les Gérants Majoritaires</t>
    </r>
    <r>
      <rPr>
        <sz val="8"/>
        <rFont val="Trebuchet MS"/>
        <family val="2"/>
      </rPr>
      <t xml:space="preserve"> (Article 62 du CGI), si l'assiette de déduction choisie est la rémunération de gérance,  elle doit être calculée après abattement des 10% pour frais</t>
    </r>
  </si>
  <si>
    <t>Montant cotisation retraite déjà versé</t>
  </si>
  <si>
    <t>BENEFICE NET SERVANT DE BASE</t>
  </si>
  <si>
    <t>Règle</t>
  </si>
  <si>
    <r>
      <t xml:space="preserve">Pour calculer précisément vos disponibles fiscaux et sociaux </t>
    </r>
    <r>
      <rPr>
        <b/>
        <sz val="10"/>
        <rFont val="Arial"/>
        <family val="2"/>
      </rPr>
      <t>dans votre situation</t>
    </r>
    <r>
      <rPr>
        <sz val="10"/>
        <rFont val="Arial"/>
        <family val="0"/>
      </rPr>
      <t>, nous vous invitons à consulter votre expert-comptable.</t>
    </r>
  </si>
  <si>
    <r>
      <t>Les montants indiqués par ce caclulateur sont</t>
    </r>
    <r>
      <rPr>
        <b/>
        <sz val="10"/>
        <rFont val="Arial"/>
        <family val="2"/>
      </rPr>
      <t xml:space="preserve"> indicatifs</t>
    </r>
    <r>
      <rPr>
        <sz val="10"/>
        <rFont val="Arial"/>
        <family val="0"/>
      </rPr>
      <t xml:space="preserve"> et n'engagent pas notre responsabilité.</t>
    </r>
  </si>
  <si>
    <t>(2) BIC / BNC / BA, Rémunération de gérance</t>
  </si>
  <si>
    <t>REVENU PROFESSIONNEL SERVANT DE BASE (2)</t>
  </si>
  <si>
    <t>&gt;&gt; Ajouter les cotisations Madelin déductibles prévoyance, santé et retraite + CSG / CRDS non déductible)</t>
  </si>
  <si>
    <t>DISPONIBLE  FISCAL RETRAITE MADELIN POUR UN TNS (1)</t>
  </si>
  <si>
    <t xml:space="preserve">soit </t>
  </si>
  <si>
    <t>/ mois</t>
  </si>
  <si>
    <t>Montant des revenus d’activité nets de frais professionnels perçus N-1</t>
  </si>
  <si>
    <t>DISPONIBLE  FISCAL RETRAITE MADELIN POUR UN SALARIE A TITRE INDIVIDUEL</t>
  </si>
  <si>
    <t xml:space="preserve">Montant cotisation retraite déjà versé (part facultative art. 83 ou PERE, PREFON, PERP, versement déductible PERin)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</si>
</sst>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"/>
    <numFmt numFmtId="168" formatCode="#,##0\ &quot;€&quot;"/>
    <numFmt numFmtId="169" formatCode="[$-40C]dddd\ d\ mmmm\ yyyy"/>
  </numFmts>
  <fonts count="66"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indexed="10"/>
      <name val="Trebuchet MS"/>
      <family val="2"/>
    </font>
    <font>
      <sz val="10"/>
      <name val="Verdana"/>
      <family val="2"/>
    </font>
    <font>
      <b/>
      <sz val="18"/>
      <name val="Verdana"/>
      <family val="2"/>
    </font>
    <font>
      <b/>
      <u val="single"/>
      <sz val="18"/>
      <name val="Verdana"/>
      <family val="2"/>
    </font>
    <font>
      <b/>
      <sz val="12"/>
      <color indexed="8"/>
      <name val="Verdana"/>
      <family val="2"/>
    </font>
    <font>
      <sz val="11"/>
      <name val="Verdana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2"/>
      <color indexed="63"/>
      <name val="Arial"/>
      <family val="2"/>
    </font>
    <font>
      <b/>
      <sz val="12"/>
      <color indexed="63"/>
      <name val="Verdana"/>
      <family val="2"/>
    </font>
    <font>
      <b/>
      <u val="single"/>
      <sz val="12"/>
      <color indexed="63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63"/>
      <name val="Arial"/>
      <family val="2"/>
    </font>
    <font>
      <b/>
      <sz val="11"/>
      <name val="Verdana"/>
      <family val="2"/>
    </font>
    <font>
      <b/>
      <sz val="9"/>
      <name val="Trebuchet MS"/>
      <family val="2"/>
    </font>
    <font>
      <b/>
      <sz val="14"/>
      <name val="Arial"/>
      <family val="2"/>
    </font>
    <font>
      <b/>
      <sz val="10"/>
      <color indexed="9"/>
      <name val="Trebuchet MS"/>
      <family val="2"/>
    </font>
    <font>
      <b/>
      <u val="single"/>
      <sz val="10"/>
      <color indexed="12"/>
      <name val="Arial"/>
      <family val="2"/>
    </font>
    <font>
      <b/>
      <sz val="10"/>
      <color indexed="8"/>
      <name val="Trebuchet MS"/>
      <family val="2"/>
    </font>
    <font>
      <sz val="10"/>
      <color indexed="9"/>
      <name val="Trebuchet MS"/>
      <family val="2"/>
    </font>
    <font>
      <b/>
      <u val="single"/>
      <sz val="10"/>
      <name val="Trebuchet MS"/>
      <family val="2"/>
    </font>
    <font>
      <b/>
      <u val="single"/>
      <sz val="10"/>
      <color indexed="8"/>
      <name val="Trebuchet MS"/>
      <family val="2"/>
    </font>
    <font>
      <b/>
      <sz val="14"/>
      <color indexed="53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166" fontId="2" fillId="33" borderId="0" xfId="0" applyNumberFormat="1" applyFont="1" applyFill="1" applyAlignment="1">
      <alignment/>
    </xf>
    <xf numFmtId="166" fontId="2" fillId="33" borderId="12" xfId="0" applyNumberFormat="1" applyFont="1" applyFill="1" applyBorder="1" applyAlignment="1" applyProtection="1">
      <alignment/>
      <protection locked="0"/>
    </xf>
    <xf numFmtId="166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166" fontId="2" fillId="33" borderId="11" xfId="0" applyNumberFormat="1" applyFont="1" applyFill="1" applyBorder="1" applyAlignment="1">
      <alignment/>
    </xf>
    <xf numFmtId="10" fontId="3" fillId="33" borderId="0" xfId="0" applyNumberFormat="1" applyFont="1" applyFill="1" applyAlignment="1" applyProtection="1">
      <alignment/>
      <protection locked="0"/>
    </xf>
    <xf numFmtId="0" fontId="3" fillId="33" borderId="12" xfId="0" applyFont="1" applyFill="1" applyBorder="1" applyAlignment="1">
      <alignment/>
    </xf>
    <xf numFmtId="166" fontId="3" fillId="33" borderId="12" xfId="0" applyNumberFormat="1" applyFont="1" applyFill="1" applyBorder="1" applyAlignment="1">
      <alignment/>
    </xf>
    <xf numFmtId="166" fontId="3" fillId="33" borderId="12" xfId="0" applyNumberFormat="1" applyFont="1" applyFill="1" applyBorder="1" applyAlignment="1">
      <alignment horizontal="center"/>
    </xf>
    <xf numFmtId="16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66" fontId="3" fillId="34" borderId="12" xfId="0" applyNumberFormat="1" applyFont="1" applyFill="1" applyBorder="1" applyAlignment="1" applyProtection="1">
      <alignment/>
      <protection locked="0"/>
    </xf>
    <xf numFmtId="8" fontId="3" fillId="35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66" fontId="2" fillId="33" borderId="12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10" fontId="3" fillId="33" borderId="0" xfId="0" applyNumberFormat="1" applyFont="1" applyFill="1" applyAlignment="1">
      <alignment/>
    </xf>
    <xf numFmtId="166" fontId="3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166" fontId="5" fillId="33" borderId="12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166" fontId="5" fillId="33" borderId="11" xfId="0" applyNumberFormat="1" applyFont="1" applyFill="1" applyBorder="1" applyAlignment="1">
      <alignment/>
    </xf>
    <xf numFmtId="166" fontId="5" fillId="33" borderId="12" xfId="0" applyNumberFormat="1" applyFont="1" applyFill="1" applyBorder="1" applyAlignment="1">
      <alignment/>
    </xf>
    <xf numFmtId="166" fontId="5" fillId="33" borderId="0" xfId="0" applyNumberFormat="1" applyFont="1" applyFill="1" applyAlignment="1">
      <alignment/>
    </xf>
    <xf numFmtId="0" fontId="6" fillId="33" borderId="12" xfId="0" applyFont="1" applyFill="1" applyBorder="1" applyAlignment="1">
      <alignment horizontal="center"/>
    </xf>
    <xf numFmtId="166" fontId="6" fillId="33" borderId="12" xfId="0" applyNumberFormat="1" applyFont="1" applyFill="1" applyBorder="1" applyAlignment="1">
      <alignment horizontal="center"/>
    </xf>
    <xf numFmtId="10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66" fontId="6" fillId="33" borderId="0" xfId="0" applyNumberFormat="1" applyFont="1" applyFill="1" applyAlignment="1">
      <alignment/>
    </xf>
    <xf numFmtId="166" fontId="6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66" fontId="2" fillId="33" borderId="0" xfId="0" applyNumberFormat="1" applyFont="1" applyFill="1" applyAlignment="1">
      <alignment horizontal="left"/>
    </xf>
    <xf numFmtId="166" fontId="3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8" fontId="6" fillId="35" borderId="12" xfId="0" applyNumberFormat="1" applyFont="1" applyFill="1" applyBorder="1" applyAlignment="1">
      <alignment horizontal="center"/>
    </xf>
    <xf numFmtId="166" fontId="6" fillId="34" borderId="12" xfId="0" applyNumberFormat="1" applyFont="1" applyFill="1" applyBorder="1" applyAlignment="1" applyProtection="1">
      <alignment/>
      <protection locked="0"/>
    </xf>
    <xf numFmtId="10" fontId="6" fillId="34" borderId="12" xfId="0" applyNumberFormat="1" applyFont="1" applyFill="1" applyBorder="1" applyAlignment="1" applyProtection="1">
      <alignment/>
      <protection locked="0"/>
    </xf>
    <xf numFmtId="0" fontId="6" fillId="35" borderId="12" xfId="0" applyFont="1" applyFill="1" applyBorder="1" applyAlignment="1">
      <alignment horizontal="center"/>
    </xf>
    <xf numFmtId="167" fontId="3" fillId="34" borderId="12" xfId="0" applyNumberFormat="1" applyFont="1" applyFill="1" applyBorder="1" applyAlignment="1" applyProtection="1">
      <alignment/>
      <protection locked="0"/>
    </xf>
    <xf numFmtId="10" fontId="3" fillId="34" borderId="12" xfId="0" applyNumberFormat="1" applyFont="1" applyFill="1" applyBorder="1" applyAlignment="1" applyProtection="1">
      <alignment/>
      <protection locked="0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14" xfId="0" applyFont="1" applyFill="1" applyBorder="1" applyAlignment="1">
      <alignment/>
    </xf>
    <xf numFmtId="166" fontId="3" fillId="33" borderId="0" xfId="0" applyNumberFormat="1" applyFont="1" applyFill="1" applyAlignment="1">
      <alignment horizontal="center"/>
    </xf>
    <xf numFmtId="166" fontId="6" fillId="33" borderId="0" xfId="0" applyNumberFormat="1" applyFont="1" applyFill="1" applyAlignment="1">
      <alignment horizontal="center"/>
    </xf>
    <xf numFmtId="166" fontId="21" fillId="33" borderId="0" xfId="0" applyNumberFormat="1" applyFont="1" applyFill="1" applyAlignment="1">
      <alignment horizontal="center"/>
    </xf>
    <xf numFmtId="166" fontId="3" fillId="33" borderId="0" xfId="0" applyNumberFormat="1" applyFont="1" applyFill="1" applyAlignment="1">
      <alignment horizontal="left"/>
    </xf>
    <xf numFmtId="168" fontId="11" fillId="34" borderId="12" xfId="0" applyNumberFormat="1" applyFont="1" applyFill="1" applyBorder="1" applyAlignment="1" applyProtection="1">
      <alignment horizontal="right"/>
      <protection locked="0"/>
    </xf>
    <xf numFmtId="0" fontId="11" fillId="34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/>
    </xf>
    <xf numFmtId="166" fontId="6" fillId="33" borderId="0" xfId="0" applyNumberFormat="1" applyFont="1" applyFill="1" applyAlignment="1">
      <alignment horizontal="left"/>
    </xf>
    <xf numFmtId="166" fontId="3" fillId="33" borderId="0" xfId="0" applyNumberFormat="1" applyFont="1" applyFill="1" applyAlignment="1">
      <alignment/>
    </xf>
    <xf numFmtId="166" fontId="3" fillId="33" borderId="0" xfId="0" applyNumberFormat="1" applyFont="1" applyFill="1" applyBorder="1" applyAlignment="1">
      <alignment/>
    </xf>
    <xf numFmtId="166" fontId="25" fillId="33" borderId="12" xfId="0" applyNumberFormat="1" applyFont="1" applyFill="1" applyBorder="1" applyAlignment="1">
      <alignment horizontal="center"/>
    </xf>
    <xf numFmtId="166" fontId="23" fillId="33" borderId="11" xfId="0" applyNumberFormat="1" applyFont="1" applyFill="1" applyBorder="1" applyAlignment="1">
      <alignment/>
    </xf>
    <xf numFmtId="0" fontId="20" fillId="33" borderId="0" xfId="0" applyFont="1" applyFill="1" applyAlignment="1">
      <alignment/>
    </xf>
    <xf numFmtId="0" fontId="26" fillId="33" borderId="0" xfId="0" applyFont="1" applyFill="1" applyAlignment="1">
      <alignment/>
    </xf>
    <xf numFmtId="166" fontId="26" fillId="33" borderId="0" xfId="0" applyNumberFormat="1" applyFont="1" applyFill="1" applyAlignment="1">
      <alignment/>
    </xf>
    <xf numFmtId="166" fontId="3" fillId="36" borderId="12" xfId="0" applyNumberFormat="1" applyFont="1" applyFill="1" applyBorder="1" applyAlignment="1" applyProtection="1">
      <alignment horizontal="right"/>
      <protection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0" borderId="0" xfId="0" applyFont="1" applyFill="1" applyAlignment="1">
      <alignment/>
    </xf>
    <xf numFmtId="166" fontId="25" fillId="36" borderId="12" xfId="0" applyNumberFormat="1" applyFont="1" applyFill="1" applyBorder="1" applyAlignment="1" applyProtection="1">
      <alignment horizontal="right"/>
      <protection/>
    </xf>
    <xf numFmtId="168" fontId="31" fillId="33" borderId="0" xfId="0" applyNumberFormat="1" applyFont="1" applyFill="1" applyAlignment="1">
      <alignment/>
    </xf>
    <xf numFmtId="0" fontId="31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166" fontId="3" fillId="36" borderId="12" xfId="0" applyNumberFormat="1" applyFont="1" applyFill="1" applyBorder="1" applyAlignment="1" applyProtection="1">
      <alignment horizontal="right" vertical="center"/>
      <protection/>
    </xf>
    <xf numFmtId="166" fontId="3" fillId="34" borderId="12" xfId="0" applyNumberFormat="1" applyFont="1" applyFill="1" applyBorder="1" applyAlignment="1" applyProtection="1">
      <alignment vertical="center"/>
      <protection locked="0"/>
    </xf>
    <xf numFmtId="0" fontId="17" fillId="35" borderId="11" xfId="44" applyFont="1" applyFill="1" applyBorder="1" applyAlignment="1" applyProtection="1">
      <alignment horizontal="center"/>
      <protection/>
    </xf>
    <xf numFmtId="0" fontId="17" fillId="35" borderId="12" xfId="44" applyFont="1" applyFill="1" applyBorder="1" applyAlignment="1" applyProtection="1">
      <alignment horizontal="center"/>
      <protection/>
    </xf>
    <xf numFmtId="0" fontId="17" fillId="37" borderId="11" xfId="44" applyFont="1" applyFill="1" applyBorder="1" applyAlignment="1" applyProtection="1">
      <alignment horizontal="center"/>
      <protection/>
    </xf>
    <xf numFmtId="0" fontId="17" fillId="37" borderId="12" xfId="44" applyFont="1" applyFill="1" applyBorder="1" applyAlignment="1" applyProtection="1">
      <alignment horizontal="center"/>
      <protection/>
    </xf>
    <xf numFmtId="0" fontId="29" fillId="38" borderId="15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7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0" fontId="17" fillId="39" borderId="11" xfId="44" applyFont="1" applyFill="1" applyBorder="1" applyAlignment="1" applyProtection="1">
      <alignment horizontal="center"/>
      <protection/>
    </xf>
    <xf numFmtId="0" fontId="17" fillId="39" borderId="12" xfId="44" applyFont="1" applyFill="1" applyBorder="1" applyAlignment="1" applyProtection="1">
      <alignment horizontal="center"/>
      <protection/>
    </xf>
    <xf numFmtId="0" fontId="17" fillId="36" borderId="11" xfId="44" applyFont="1" applyFill="1" applyBorder="1" applyAlignment="1" applyProtection="1">
      <alignment horizontal="center"/>
      <protection/>
    </xf>
    <xf numFmtId="0" fontId="17" fillId="36" borderId="12" xfId="44" applyFont="1" applyFill="1" applyBorder="1" applyAlignment="1" applyProtection="1">
      <alignment horizontal="center"/>
      <protection/>
    </xf>
    <xf numFmtId="0" fontId="12" fillId="33" borderId="0" xfId="0" applyFont="1" applyFill="1" applyAlignment="1">
      <alignment horizontal="right"/>
    </xf>
    <xf numFmtId="0" fontId="12" fillId="33" borderId="18" xfId="0" applyFont="1" applyFill="1" applyBorder="1" applyAlignment="1">
      <alignment horizontal="right"/>
    </xf>
    <xf numFmtId="0" fontId="1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4" fillId="40" borderId="12" xfId="44" applyFont="1" applyFill="1" applyBorder="1" applyAlignment="1" applyProtection="1">
      <alignment horizontal="center"/>
      <protection/>
    </xf>
    <xf numFmtId="0" fontId="3" fillId="39" borderId="10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19" fillId="40" borderId="12" xfId="44" applyFont="1" applyFill="1" applyBorder="1" applyAlignment="1" applyProtection="1">
      <alignment horizontal="center"/>
      <protection/>
    </xf>
    <xf numFmtId="8" fontId="3" fillId="35" borderId="10" xfId="0" applyNumberFormat="1" applyFont="1" applyFill="1" applyBorder="1" applyAlignment="1">
      <alignment horizontal="center"/>
    </xf>
    <xf numFmtId="8" fontId="3" fillId="35" borderId="11" xfId="0" applyNumberFormat="1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6" borderId="10" xfId="0" applyFont="1" applyFill="1" applyBorder="1" applyAlignment="1" applyProtection="1">
      <alignment horizontal="left"/>
      <protection/>
    </xf>
    <xf numFmtId="0" fontId="3" fillId="36" borderId="11" xfId="0" applyFont="1" applyFill="1" applyBorder="1" applyAlignment="1" applyProtection="1">
      <alignment horizontal="left"/>
      <protection/>
    </xf>
    <xf numFmtId="0" fontId="3" fillId="36" borderId="10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85725</xdr:rowOff>
    </xdr:from>
    <xdr:to>
      <xdr:col>6</xdr:col>
      <xdr:colOff>561975</xdr:colOff>
      <xdr:row>4</xdr:row>
      <xdr:rowOff>19050</xdr:rowOff>
    </xdr:to>
    <xdr:pic>
      <xdr:nvPicPr>
        <xdr:cNvPr id="1" name="Picture 1" descr="Logo-Audit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85725"/>
          <a:ext cx="2457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2181225</xdr:colOff>
      <xdr:row>3</xdr:row>
      <xdr:rowOff>133350</xdr:rowOff>
    </xdr:to>
    <xdr:pic>
      <xdr:nvPicPr>
        <xdr:cNvPr id="1" name="Picture 1" descr="Logo-Audit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2181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1</xdr:col>
      <xdr:colOff>1771650</xdr:colOff>
      <xdr:row>4</xdr:row>
      <xdr:rowOff>9525</xdr:rowOff>
    </xdr:to>
    <xdr:pic>
      <xdr:nvPicPr>
        <xdr:cNvPr id="1" name="Picture 1" descr="Logo-Audit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181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2</xdr:col>
      <xdr:colOff>885825</xdr:colOff>
      <xdr:row>3</xdr:row>
      <xdr:rowOff>133350</xdr:rowOff>
    </xdr:to>
    <xdr:pic>
      <xdr:nvPicPr>
        <xdr:cNvPr id="1" name="Picture 1" descr="Logo-Audit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181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2</xdr:col>
      <xdr:colOff>942975</xdr:colOff>
      <xdr:row>3</xdr:row>
      <xdr:rowOff>133350</xdr:rowOff>
    </xdr:to>
    <xdr:pic>
      <xdr:nvPicPr>
        <xdr:cNvPr id="1" name="Picture 1" descr="Logo-Audit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181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2</xdr:col>
      <xdr:colOff>885825</xdr:colOff>
      <xdr:row>3</xdr:row>
      <xdr:rowOff>133350</xdr:rowOff>
    </xdr:to>
    <xdr:pic>
      <xdr:nvPicPr>
        <xdr:cNvPr id="1" name="Picture 1" descr="Logo-Audit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181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7"/>
  <sheetViews>
    <sheetView zoomScale="85" zoomScaleNormal="85" zoomScalePageLayoutView="0" workbookViewId="0" topLeftCell="A1">
      <selection activeCell="F17" sqref="F17"/>
    </sheetView>
  </sheetViews>
  <sheetFormatPr defaultColWidth="11.421875" defaultRowHeight="12.75"/>
  <cols>
    <col min="1" max="4" width="11.421875" style="1" customWidth="1"/>
    <col min="5" max="5" width="12.28125" style="1" bestFit="1" customWidth="1"/>
    <col min="6" max="6" width="17.00390625" style="1" customWidth="1"/>
    <col min="7" max="7" width="11.421875" style="1" customWidth="1"/>
    <col min="8" max="8" width="13.8515625" style="1" customWidth="1"/>
    <col min="9" max="16384" width="11.421875" style="1" customWidth="1"/>
  </cols>
  <sheetData>
    <row r="1" ht="12.75"/>
    <row r="2" ht="12.75"/>
    <row r="3" ht="12.75"/>
    <row r="4" spans="6:8" ht="22.5">
      <c r="F4" s="53"/>
      <c r="G4" s="53"/>
      <c r="H4" s="53"/>
    </row>
    <row r="5" spans="5:8" ht="22.5">
      <c r="E5" s="53"/>
      <c r="F5" s="53"/>
      <c r="G5" s="53"/>
      <c r="H5" s="53"/>
    </row>
    <row r="6" spans="2:11" ht="22.5">
      <c r="B6" s="100" t="s">
        <v>55</v>
      </c>
      <c r="C6" s="100"/>
      <c r="D6" s="100"/>
      <c r="E6" s="100"/>
      <c r="F6" s="100"/>
      <c r="G6" s="100"/>
      <c r="H6" s="100"/>
      <c r="I6" s="100"/>
      <c r="J6" s="100"/>
      <c r="K6" s="100"/>
    </row>
    <row r="8" spans="2:11" ht="22.5">
      <c r="B8" s="100" t="s">
        <v>54</v>
      </c>
      <c r="C8" s="100"/>
      <c r="D8" s="100"/>
      <c r="E8" s="100"/>
      <c r="F8" s="100"/>
      <c r="G8" s="100"/>
      <c r="H8" s="100"/>
      <c r="I8" s="100"/>
      <c r="J8" s="100"/>
      <c r="K8" s="100"/>
    </row>
    <row r="10" spans="1:13" ht="12.75">
      <c r="A10" s="101" t="s">
        <v>65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ht="12.75">
      <c r="A11" s="101" t="s">
        <v>64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6" ht="12.75">
      <c r="A12" s="52"/>
      <c r="B12" s="52"/>
      <c r="C12" s="52"/>
      <c r="D12" s="52"/>
      <c r="E12" s="52"/>
      <c r="F12" s="52"/>
    </row>
    <row r="13" spans="1:6" ht="12.75">
      <c r="A13" s="52"/>
      <c r="B13" s="52"/>
      <c r="C13" s="52"/>
      <c r="D13" s="52"/>
      <c r="E13" s="52"/>
      <c r="F13" s="52"/>
    </row>
    <row r="14" spans="1:10" ht="15">
      <c r="A14" s="98" t="s">
        <v>43</v>
      </c>
      <c r="B14" s="98"/>
      <c r="C14" s="98"/>
      <c r="D14" s="98"/>
      <c r="E14" s="99"/>
      <c r="F14" s="63">
        <v>46368</v>
      </c>
      <c r="H14" s="81" t="s">
        <v>70</v>
      </c>
      <c r="I14" s="79">
        <f>F14/12</f>
        <v>3864</v>
      </c>
      <c r="J14" s="80" t="s">
        <v>71</v>
      </c>
    </row>
    <row r="15" spans="1:6" ht="14.25">
      <c r="A15" s="54"/>
      <c r="B15" s="54"/>
      <c r="C15" s="54"/>
      <c r="D15" s="54"/>
      <c r="E15" s="52"/>
      <c r="F15" s="52"/>
    </row>
    <row r="16" spans="1:6" ht="15">
      <c r="A16" s="54"/>
      <c r="C16" s="71"/>
      <c r="D16" s="98" t="s">
        <v>44</v>
      </c>
      <c r="E16" s="99"/>
      <c r="F16" s="64">
        <v>2024</v>
      </c>
    </row>
    <row r="17" spans="1:6" ht="14.25">
      <c r="A17" s="55"/>
      <c r="B17" s="54"/>
      <c r="C17" s="54"/>
      <c r="D17" s="54"/>
      <c r="E17" s="52"/>
      <c r="F17" s="52"/>
    </row>
    <row r="18" spans="4:8" ht="15">
      <c r="D18" s="56"/>
      <c r="E18" s="56"/>
      <c r="F18" s="56"/>
      <c r="G18" s="56"/>
      <c r="H18" s="56"/>
    </row>
    <row r="19" spans="4:8" ht="15">
      <c r="D19" s="57"/>
      <c r="E19" s="57"/>
      <c r="F19" s="57"/>
      <c r="G19" s="57"/>
      <c r="H19" s="57"/>
    </row>
    <row r="20" spans="2:11" ht="15.75">
      <c r="B20" s="88" t="s">
        <v>50</v>
      </c>
      <c r="C20" s="89"/>
      <c r="D20" s="94" t="s">
        <v>45</v>
      </c>
      <c r="E20" s="95"/>
      <c r="F20" s="95"/>
      <c r="G20" s="95"/>
      <c r="H20" s="95"/>
      <c r="J20" s="102" t="s">
        <v>56</v>
      </c>
      <c r="K20" s="103"/>
    </row>
    <row r="21" spans="2:11" ht="15">
      <c r="B21" s="90"/>
      <c r="C21" s="91"/>
      <c r="D21" s="57"/>
      <c r="E21" s="57"/>
      <c r="F21" s="57"/>
      <c r="G21" s="57"/>
      <c r="H21" s="57"/>
      <c r="J21" s="104"/>
      <c r="K21" s="105"/>
    </row>
    <row r="22" spans="2:11" ht="15.75">
      <c r="B22" s="90"/>
      <c r="C22" s="91"/>
      <c r="D22" s="96" t="s">
        <v>48</v>
      </c>
      <c r="E22" s="97"/>
      <c r="F22" s="97"/>
      <c r="G22" s="97"/>
      <c r="H22" s="97"/>
      <c r="J22" s="104"/>
      <c r="K22" s="105"/>
    </row>
    <row r="23" spans="2:11" ht="15">
      <c r="B23" s="90"/>
      <c r="C23" s="91"/>
      <c r="D23" s="57"/>
      <c r="E23" s="57"/>
      <c r="F23" s="57"/>
      <c r="G23" s="57"/>
      <c r="H23" s="57"/>
      <c r="J23" s="104"/>
      <c r="K23" s="105"/>
    </row>
    <row r="24" spans="2:11" ht="15.75">
      <c r="B24" s="90"/>
      <c r="C24" s="91"/>
      <c r="D24" s="84" t="s">
        <v>46</v>
      </c>
      <c r="E24" s="85"/>
      <c r="F24" s="85"/>
      <c r="G24" s="85"/>
      <c r="H24" s="85"/>
      <c r="J24" s="104"/>
      <c r="K24" s="105"/>
    </row>
    <row r="25" spans="2:11" ht="15">
      <c r="B25" s="90"/>
      <c r="C25" s="91"/>
      <c r="D25" s="57"/>
      <c r="E25" s="57"/>
      <c r="F25" s="57"/>
      <c r="G25" s="57"/>
      <c r="H25" s="57"/>
      <c r="J25" s="104"/>
      <c r="K25" s="105"/>
    </row>
    <row r="26" spans="2:11" ht="15.75">
      <c r="B26" s="92"/>
      <c r="C26" s="93"/>
      <c r="D26" s="86" t="s">
        <v>47</v>
      </c>
      <c r="E26" s="87"/>
      <c r="F26" s="87"/>
      <c r="G26" s="87"/>
      <c r="H26" s="87"/>
      <c r="J26" s="106"/>
      <c r="K26" s="107"/>
    </row>
    <row r="27" spans="4:8" ht="15">
      <c r="D27" s="56"/>
      <c r="E27" s="56"/>
      <c r="F27" s="56"/>
      <c r="G27" s="56"/>
      <c r="H27" s="56"/>
    </row>
  </sheetData>
  <sheetProtection password="89A5" sheet="1"/>
  <mergeCells count="12">
    <mergeCell ref="B6:K6"/>
    <mergeCell ref="B8:K8"/>
    <mergeCell ref="A10:M10"/>
    <mergeCell ref="A11:M11"/>
    <mergeCell ref="J20:K26"/>
    <mergeCell ref="A14:E14"/>
    <mergeCell ref="D24:H24"/>
    <mergeCell ref="D26:H26"/>
    <mergeCell ref="B20:C26"/>
    <mergeCell ref="D20:H20"/>
    <mergeCell ref="D22:H22"/>
    <mergeCell ref="D16:E16"/>
  </mergeCells>
  <hyperlinks>
    <hyperlink ref="D20:H20" location="DISPOPREVSALARIE!A1" display="Disponible fiscal et social Prévoyance collective"/>
    <hyperlink ref="D22:H22" location="'DISPO RETRAITESALARIE'!A1" display="Disponible fiscal et social Prévoyance collective"/>
    <hyperlink ref="D24:H24" location="DISPOPREVTNS!A1" display="Disponible fiscal Prévoyance Madelin"/>
    <hyperlink ref="D26:H26" location="DISPORETRAITETNS!A1" display="Disponible fiscal Retraite Madelin"/>
  </hyperlink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1.140625" style="2" customWidth="1"/>
    <col min="2" max="2" width="36.00390625" style="2" customWidth="1"/>
    <col min="3" max="3" width="16.8515625" style="2" customWidth="1"/>
    <col min="4" max="4" width="22.00390625" style="2" customWidth="1"/>
    <col min="5" max="5" width="29.8515625" style="2" customWidth="1"/>
    <col min="6" max="6" width="10.421875" style="2" customWidth="1"/>
    <col min="7" max="7" width="21.00390625" style="2" customWidth="1"/>
    <col min="8" max="16384" width="11.421875" style="2" customWidth="1"/>
  </cols>
  <sheetData>
    <row r="1" spans="2:4" ht="15">
      <c r="B1" s="111"/>
      <c r="C1" s="112" t="s">
        <v>49</v>
      </c>
      <c r="D1" s="112"/>
    </row>
    <row r="2" ht="15">
      <c r="B2" s="111"/>
    </row>
    <row r="3" spans="2:6" ht="15">
      <c r="B3" s="111"/>
      <c r="F3" s="19"/>
    </row>
    <row r="4" ht="15"/>
    <row r="5" spans="3:5" ht="15">
      <c r="C5" s="108" t="s">
        <v>53</v>
      </c>
      <c r="D5" s="109"/>
      <c r="E5" s="110"/>
    </row>
    <row r="6" ht="15">
      <c r="D6" s="6"/>
    </row>
    <row r="7" spans="2:7" ht="15">
      <c r="B7" s="20" t="s">
        <v>40</v>
      </c>
      <c r="C7" s="17"/>
      <c r="D7" s="6"/>
      <c r="E7" s="6"/>
      <c r="F7" s="6"/>
      <c r="G7" s="6"/>
    </row>
    <row r="8" spans="2:7" ht="15">
      <c r="B8" s="20" t="s">
        <v>0</v>
      </c>
      <c r="C8" s="7">
        <f>'VARIABLE DE CALCUL'!F14</f>
        <v>46368</v>
      </c>
      <c r="D8" s="6"/>
      <c r="E8" s="6"/>
      <c r="F8" s="6"/>
      <c r="G8" s="6"/>
    </row>
    <row r="9" spans="2:7" ht="15">
      <c r="B9" s="9"/>
      <c r="C9" s="10"/>
      <c r="D9" s="6"/>
      <c r="E9" s="6"/>
      <c r="F9" s="6"/>
      <c r="G9" s="6"/>
    </row>
    <row r="10" spans="2:7" ht="15">
      <c r="B10" s="20" t="s">
        <v>1</v>
      </c>
      <c r="C10" s="21">
        <f>IF(C7&lt;C8,C7,C8)</f>
        <v>0</v>
      </c>
      <c r="D10" s="6"/>
      <c r="E10" s="8"/>
      <c r="F10" s="8"/>
      <c r="G10" s="6"/>
    </row>
    <row r="11" spans="2:7" ht="15">
      <c r="B11" s="20" t="s">
        <v>2</v>
      </c>
      <c r="C11" s="21">
        <f>IF(C7&lt;C8,0,IF(C7&gt;4*C8,3*C8,C7-C10))</f>
        <v>0</v>
      </c>
      <c r="D11" s="6"/>
      <c r="E11" s="6"/>
      <c r="F11" s="6"/>
      <c r="G11" s="6"/>
    </row>
    <row r="12" spans="2:7" ht="15">
      <c r="B12" s="20" t="s">
        <v>11</v>
      </c>
      <c r="C12" s="21">
        <f>IF(C7&lt;4*C8,0,IF(C7&gt;8*C8,4*C8,C7-4*C8))</f>
        <v>0</v>
      </c>
      <c r="D12" s="6"/>
      <c r="E12" s="6"/>
      <c r="F12" s="6"/>
      <c r="G12" s="6"/>
    </row>
    <row r="13" spans="2:7" ht="15">
      <c r="B13" s="22"/>
      <c r="C13" s="23"/>
      <c r="D13" s="6"/>
      <c r="E13" s="6"/>
      <c r="F13" s="6"/>
      <c r="G13" s="6"/>
    </row>
    <row r="14" spans="2:7" ht="15">
      <c r="B14" s="20" t="s">
        <v>17</v>
      </c>
      <c r="C14" s="17"/>
      <c r="D14" s="67" t="str">
        <f>"(MAXI 16% PASS soit "&amp;'VARIABLE DE CALCUL'!F14*16%&amp;" € en "&amp;'VARIABLE DE CALCUL'!F16&amp;")"</f>
        <v>(MAXI 16% PASS soit 7418,88 € en 2024)</v>
      </c>
      <c r="E14" s="6"/>
      <c r="F14" s="6"/>
      <c r="G14" s="6"/>
    </row>
    <row r="15" spans="2:7" ht="15">
      <c r="B15" s="22"/>
      <c r="C15" s="23"/>
      <c r="D15" s="6"/>
      <c r="E15" s="6"/>
      <c r="F15" s="6"/>
      <c r="G15" s="6"/>
    </row>
    <row r="16" spans="3:7" ht="15">
      <c r="C16" s="6"/>
      <c r="D16" s="6"/>
      <c r="E16" s="6"/>
      <c r="F16" s="6"/>
      <c r="G16" s="6"/>
    </row>
    <row r="17" spans="2:7" ht="15">
      <c r="B17" s="24" t="s">
        <v>14</v>
      </c>
      <c r="C17" s="14" t="s">
        <v>13</v>
      </c>
      <c r="D17" s="24" t="s">
        <v>3</v>
      </c>
      <c r="E17" s="24" t="s">
        <v>12</v>
      </c>
      <c r="F17" s="14" t="s">
        <v>13</v>
      </c>
      <c r="G17" s="24" t="s">
        <v>3</v>
      </c>
    </row>
    <row r="18" spans="2:7" ht="15">
      <c r="B18" s="20" t="s">
        <v>18</v>
      </c>
      <c r="C18" s="51"/>
      <c r="D18" s="21">
        <f>C10*C18</f>
        <v>0</v>
      </c>
      <c r="E18" s="20" t="s">
        <v>18</v>
      </c>
      <c r="F18" s="51">
        <v>0</v>
      </c>
      <c r="G18" s="21">
        <f>C10*F18</f>
        <v>0</v>
      </c>
    </row>
    <row r="19" spans="2:7" ht="15">
      <c r="B19" s="20" t="s">
        <v>19</v>
      </c>
      <c r="C19" s="51"/>
      <c r="D19" s="21">
        <f>C19*C11</f>
        <v>0</v>
      </c>
      <c r="E19" s="20" t="s">
        <v>19</v>
      </c>
      <c r="F19" s="51">
        <v>0</v>
      </c>
      <c r="G19" s="21">
        <f>C11*F19</f>
        <v>0</v>
      </c>
    </row>
    <row r="20" spans="2:7" ht="15">
      <c r="B20" s="20" t="s">
        <v>20</v>
      </c>
      <c r="C20" s="51"/>
      <c r="D20" s="21">
        <f>C20*C12</f>
        <v>0</v>
      </c>
      <c r="E20" s="20" t="s">
        <v>20</v>
      </c>
      <c r="F20" s="51">
        <v>0</v>
      </c>
      <c r="G20" s="21">
        <f>C12*F20</f>
        <v>0</v>
      </c>
    </row>
    <row r="21" spans="3:7" ht="15">
      <c r="C21" s="25"/>
      <c r="D21" s="6"/>
      <c r="E21" s="6"/>
      <c r="F21" s="6"/>
      <c r="G21" s="6"/>
    </row>
    <row r="22" spans="2:7" ht="15">
      <c r="B22" s="3" t="s">
        <v>5</v>
      </c>
      <c r="C22" s="26"/>
      <c r="D22" s="13">
        <f>SUM(D18:D20)</f>
        <v>0</v>
      </c>
      <c r="G22" s="13">
        <f>SUM(G18:G20)</f>
        <v>0</v>
      </c>
    </row>
    <row r="23" spans="3:7" ht="15">
      <c r="C23" s="6"/>
      <c r="D23" s="6"/>
      <c r="E23" s="6"/>
      <c r="F23" s="6"/>
      <c r="G23" s="6"/>
    </row>
    <row r="24" spans="3:7" ht="15">
      <c r="C24" s="6"/>
      <c r="D24" s="6"/>
      <c r="E24" s="6"/>
      <c r="F24" s="6"/>
      <c r="G24" s="6"/>
    </row>
    <row r="25" spans="2:7" ht="15">
      <c r="B25" s="12" t="s">
        <v>10</v>
      </c>
      <c r="C25" s="13">
        <f>MAX(IF(C7&lt;8*C8,C7*8%,8%*8*C8),8%*C8)</f>
        <v>3709.44</v>
      </c>
      <c r="D25" s="6"/>
      <c r="E25" s="14" t="s">
        <v>22</v>
      </c>
      <c r="F25" s="14"/>
      <c r="G25" s="18">
        <f>(C25-D22)-C14</f>
        <v>3709.44</v>
      </c>
    </row>
    <row r="26" spans="1:7" ht="15">
      <c r="A26" s="77" t="s">
        <v>63</v>
      </c>
      <c r="B26" s="65" t="s">
        <v>37</v>
      </c>
      <c r="C26" s="59"/>
      <c r="D26" s="6"/>
      <c r="E26" s="59" t="str">
        <f>"pour "&amp;'VARIABLE DE CALCUL'!$F$16</f>
        <v>pour 2024</v>
      </c>
      <c r="F26" s="6"/>
      <c r="G26" s="6"/>
    </row>
    <row r="27" spans="2:7" ht="15">
      <c r="B27" s="65" t="str">
        <f>"limité à  8 PASS "&amp;"soit "&amp;'VARIABLE DE CALCUL'!F14*8*8%&amp;" € en "&amp;'VARIABLE DE CALCUL'!F16</f>
        <v>limité à  8 PASS soit 29675,52 € en 2024</v>
      </c>
      <c r="C27" s="6"/>
      <c r="D27" s="6"/>
      <c r="E27" s="6"/>
      <c r="F27" s="6"/>
      <c r="G27" s="6"/>
    </row>
    <row r="28" spans="3:7" ht="15">
      <c r="C28" s="6"/>
      <c r="D28" s="6"/>
      <c r="E28" s="6"/>
      <c r="F28" s="6"/>
      <c r="G28" s="6"/>
    </row>
    <row r="29" spans="2:7" ht="15">
      <c r="B29" s="12" t="s">
        <v>15</v>
      </c>
      <c r="C29" s="13">
        <f>MAX(IF(C7&lt;5*C8,C7*5%,5%*5*C8),5%*C8)</f>
        <v>2318.4</v>
      </c>
      <c r="D29" s="6"/>
      <c r="E29" s="14" t="s">
        <v>21</v>
      </c>
      <c r="F29" s="14"/>
      <c r="G29" s="18">
        <f>(C29-D22)-C14</f>
        <v>2318.4</v>
      </c>
    </row>
    <row r="30" spans="1:7" ht="15">
      <c r="A30" s="76" t="s">
        <v>63</v>
      </c>
      <c r="B30" s="65" t="str">
        <f>"(5% salaire brut limité à 5 PASS soit "&amp;'VARIABLE DE CALCUL'!F14*5*5%&amp;" € en "&amp;'VARIABLE DE CALCUL'!F16&amp;")"</f>
        <v>(5% salaire brut limité à 5 PASS soit 11592 € en 2024)</v>
      </c>
      <c r="C30" s="59"/>
      <c r="D30" s="6"/>
      <c r="E30" s="59" t="str">
        <f>"pour "&amp;'VARIABLE DE CALCUL'!$F$16</f>
        <v>pour 2024</v>
      </c>
      <c r="F30" s="6"/>
      <c r="G30" s="6"/>
    </row>
    <row r="31" spans="2:7" ht="15">
      <c r="B31" s="65" t="str">
        <f>"(mini 5% PASS soit "&amp;'VARIABLE DE CALCUL'!F14*5%&amp;" € en "&amp;'VARIABLE DE CALCUL'!F16&amp;")"</f>
        <v>(mini 5% PASS soit 2318,4 € en 2024)</v>
      </c>
      <c r="C31" s="6"/>
      <c r="D31" s="6"/>
      <c r="E31" s="6"/>
      <c r="F31" s="6"/>
      <c r="G31" s="6"/>
    </row>
    <row r="32" spans="3:7" ht="15">
      <c r="C32" s="6"/>
      <c r="D32" s="6"/>
      <c r="E32" s="6"/>
      <c r="F32" s="6"/>
      <c r="G32" s="6"/>
    </row>
    <row r="33" spans="3:7" ht="15">
      <c r="C33" s="6"/>
      <c r="D33" s="6"/>
      <c r="E33" s="6"/>
      <c r="F33" s="6"/>
      <c r="G33" s="6"/>
    </row>
    <row r="34" spans="3:7" ht="15">
      <c r="C34" s="6"/>
      <c r="D34" s="6"/>
      <c r="E34" s="6"/>
      <c r="F34" s="6"/>
      <c r="G34" s="6"/>
    </row>
    <row r="35" spans="4:7" ht="15">
      <c r="D35" s="6"/>
      <c r="E35" s="6"/>
      <c r="F35" s="6"/>
      <c r="G35" s="6"/>
    </row>
    <row r="36" spans="3:7" ht="15">
      <c r="C36" s="6"/>
      <c r="D36" s="6"/>
      <c r="E36" s="6"/>
      <c r="F36" s="6"/>
      <c r="G36" s="6"/>
    </row>
    <row r="37" spans="3:7" ht="15">
      <c r="C37" s="6"/>
      <c r="D37" s="6"/>
      <c r="E37" s="6"/>
      <c r="F37" s="6"/>
      <c r="G37" s="6"/>
    </row>
    <row r="38" spans="3:7" ht="15">
      <c r="C38" s="6"/>
      <c r="D38" s="6"/>
      <c r="E38" s="6"/>
      <c r="F38" s="6"/>
      <c r="G38" s="6"/>
    </row>
    <row r="39" spans="3:7" ht="15">
      <c r="C39" s="6"/>
      <c r="D39" s="6"/>
      <c r="E39" s="6"/>
      <c r="F39" s="6"/>
      <c r="G39" s="6"/>
    </row>
  </sheetData>
  <sheetProtection/>
  <mergeCells count="3">
    <mergeCell ref="C5:E5"/>
    <mergeCell ref="B1:B3"/>
    <mergeCell ref="C1:D1"/>
  </mergeCells>
  <hyperlinks>
    <hyperlink ref="C1:D1" location="'VARIABLE DE CALCUL'!A1" display="RETOUR MENU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B1">
      <selection activeCell="D38" sqref="D38"/>
    </sheetView>
  </sheetViews>
  <sheetFormatPr defaultColWidth="11.421875" defaultRowHeight="12.75"/>
  <cols>
    <col min="1" max="1" width="10.421875" style="16" customWidth="1"/>
    <col min="2" max="2" width="36.00390625" style="16" customWidth="1"/>
    <col min="3" max="3" width="13.7109375" style="16" customWidth="1"/>
    <col min="4" max="4" width="22.00390625" style="16" customWidth="1"/>
    <col min="5" max="5" width="29.8515625" style="16" customWidth="1"/>
    <col min="6" max="6" width="10.421875" style="16" customWidth="1"/>
    <col min="7" max="7" width="21.00390625" style="16" customWidth="1"/>
    <col min="8" max="16384" width="11.421875" style="16" customWidth="1"/>
  </cols>
  <sheetData>
    <row r="1" spans="3:4" ht="13.5">
      <c r="C1" s="116" t="s">
        <v>49</v>
      </c>
      <c r="D1" s="116"/>
    </row>
    <row r="2" ht="13.5"/>
    <row r="3" ht="13.5">
      <c r="F3" s="27"/>
    </row>
    <row r="4" ht="13.5"/>
    <row r="5" spans="3:5" ht="15">
      <c r="C5" s="113" t="s">
        <v>52</v>
      </c>
      <c r="D5" s="114"/>
      <c r="E5" s="115"/>
    </row>
    <row r="6" spans="2:5" ht="15">
      <c r="B6" s="58"/>
      <c r="C6" s="44"/>
      <c r="D6" s="19"/>
      <c r="E6" s="19"/>
    </row>
    <row r="7" spans="2:7" ht="13.5">
      <c r="B7" s="28" t="s">
        <v>40</v>
      </c>
      <c r="C7" s="47"/>
      <c r="D7" s="15"/>
      <c r="E7" s="15"/>
      <c r="F7" s="15"/>
      <c r="G7" s="15"/>
    </row>
    <row r="8" spans="2:7" ht="13.5">
      <c r="B8" s="28" t="s">
        <v>0</v>
      </c>
      <c r="C8" s="29">
        <f>'VARIABLE DE CALCUL'!F14</f>
        <v>46368</v>
      </c>
      <c r="D8" s="15"/>
      <c r="E8" s="15"/>
      <c r="F8" s="15"/>
      <c r="G8" s="15"/>
    </row>
    <row r="9" spans="2:7" ht="13.5">
      <c r="B9" s="30"/>
      <c r="C9" s="31"/>
      <c r="D9" s="15"/>
      <c r="E9" s="15"/>
      <c r="F9" s="15"/>
      <c r="G9" s="15"/>
    </row>
    <row r="10" spans="2:7" ht="13.5">
      <c r="B10" s="28" t="s">
        <v>1</v>
      </c>
      <c r="C10" s="32">
        <f>IF(C7&lt;C8,C7,C8)</f>
        <v>0</v>
      </c>
      <c r="D10" s="15"/>
      <c r="E10" s="33"/>
      <c r="F10" s="33"/>
      <c r="G10" s="15"/>
    </row>
    <row r="11" spans="2:7" ht="13.5">
      <c r="B11" s="28" t="s">
        <v>2</v>
      </c>
      <c r="C11" s="32">
        <f>IF(C7&lt;C8,0,IF(C7&gt;4*C8,3*C8,C7-C10))</f>
        <v>0</v>
      </c>
      <c r="D11" s="15"/>
      <c r="E11" s="15"/>
      <c r="F11" s="15"/>
      <c r="G11" s="15"/>
    </row>
    <row r="12" spans="2:7" ht="13.5">
      <c r="B12" s="28" t="s">
        <v>11</v>
      </c>
      <c r="C12" s="32">
        <f>IF(C7&lt;4*C8,0,IF(C7&gt;8*C8,4*C8,C7-4*C8))</f>
        <v>0</v>
      </c>
      <c r="D12" s="15"/>
      <c r="E12" s="15"/>
      <c r="F12" s="15"/>
      <c r="G12" s="15"/>
    </row>
    <row r="13" spans="3:7" ht="13.5">
      <c r="C13" s="15"/>
      <c r="D13" s="15"/>
      <c r="E13" s="15"/>
      <c r="F13" s="15"/>
      <c r="G13" s="15"/>
    </row>
    <row r="14" spans="2:7" ht="13.5">
      <c r="B14" s="49" t="s">
        <v>14</v>
      </c>
      <c r="C14" s="35" t="s">
        <v>13</v>
      </c>
      <c r="D14" s="34" t="s">
        <v>3</v>
      </c>
      <c r="E14" s="49" t="s">
        <v>12</v>
      </c>
      <c r="F14" s="35" t="s">
        <v>13</v>
      </c>
      <c r="G14" s="34" t="s">
        <v>3</v>
      </c>
    </row>
    <row r="15" spans="2:7" ht="13.5">
      <c r="B15" s="28" t="s">
        <v>24</v>
      </c>
      <c r="C15" s="48"/>
      <c r="D15" s="32">
        <f>C10*C15</f>
        <v>0</v>
      </c>
      <c r="E15" s="28" t="s">
        <v>24</v>
      </c>
      <c r="F15" s="48"/>
      <c r="G15" s="32">
        <f>C10*F15</f>
        <v>0</v>
      </c>
    </row>
    <row r="16" spans="2:7" ht="13.5">
      <c r="B16" s="28" t="s">
        <v>25</v>
      </c>
      <c r="C16" s="48"/>
      <c r="D16" s="32">
        <f>C16*C11</f>
        <v>0</v>
      </c>
      <c r="E16" s="28" t="s">
        <v>25</v>
      </c>
      <c r="F16" s="48"/>
      <c r="G16" s="32">
        <f>C11*F16</f>
        <v>0</v>
      </c>
    </row>
    <row r="17" spans="2:7" ht="13.5">
      <c r="B17" s="28" t="s">
        <v>26</v>
      </c>
      <c r="C17" s="48"/>
      <c r="D17" s="32">
        <f>C17*C12</f>
        <v>0</v>
      </c>
      <c r="E17" s="28" t="s">
        <v>26</v>
      </c>
      <c r="F17" s="48"/>
      <c r="G17" s="32">
        <f>C12*F17</f>
        <v>0</v>
      </c>
    </row>
    <row r="18" spans="2:7" ht="13.5">
      <c r="B18" s="28" t="s">
        <v>27</v>
      </c>
      <c r="C18" s="48"/>
      <c r="D18" s="32">
        <f>C10*C18</f>
        <v>0</v>
      </c>
      <c r="E18" s="28" t="s">
        <v>27</v>
      </c>
      <c r="F18" s="48"/>
      <c r="G18" s="32">
        <f>C10*F18</f>
        <v>0</v>
      </c>
    </row>
    <row r="19" spans="2:7" ht="13.5">
      <c r="B19" s="28" t="s">
        <v>28</v>
      </c>
      <c r="C19" s="48"/>
      <c r="D19" s="32">
        <f>C19*C11</f>
        <v>0</v>
      </c>
      <c r="E19" s="28" t="s">
        <v>28</v>
      </c>
      <c r="F19" s="48"/>
      <c r="G19" s="32">
        <f>C11*F19</f>
        <v>0</v>
      </c>
    </row>
    <row r="20" spans="2:7" ht="13.5">
      <c r="B20" s="28" t="s">
        <v>29</v>
      </c>
      <c r="C20" s="48"/>
      <c r="D20" s="32">
        <f>C20*C12</f>
        <v>0</v>
      </c>
      <c r="E20" s="28" t="s">
        <v>29</v>
      </c>
      <c r="F20" s="48"/>
      <c r="G20" s="32">
        <f>C12*F20</f>
        <v>0</v>
      </c>
    </row>
    <row r="21" spans="2:7" ht="13.5">
      <c r="B21" s="28" t="s">
        <v>30</v>
      </c>
      <c r="C21" s="48"/>
      <c r="D21" s="32">
        <f>C21*C10</f>
        <v>0</v>
      </c>
      <c r="E21" s="28" t="s">
        <v>30</v>
      </c>
      <c r="F21" s="48"/>
      <c r="G21" s="32">
        <f>C10*F21</f>
        <v>0</v>
      </c>
    </row>
    <row r="22" spans="2:7" ht="13.5">
      <c r="B22" s="28" t="s">
        <v>31</v>
      </c>
      <c r="C22" s="48"/>
      <c r="D22" s="32">
        <f>C22*C11</f>
        <v>0</v>
      </c>
      <c r="E22" s="28" t="s">
        <v>31</v>
      </c>
      <c r="F22" s="48"/>
      <c r="G22" s="32">
        <f>C11*F22</f>
        <v>0</v>
      </c>
    </row>
    <row r="23" spans="2:7" ht="13.5">
      <c r="B23" s="28" t="s">
        <v>32</v>
      </c>
      <c r="C23" s="48"/>
      <c r="D23" s="32">
        <f>C23*C12</f>
        <v>0</v>
      </c>
      <c r="E23" s="28" t="s">
        <v>32</v>
      </c>
      <c r="F23" s="48"/>
      <c r="G23" s="32">
        <f>C12*F23</f>
        <v>0</v>
      </c>
    </row>
    <row r="24" spans="2:7" ht="13.5">
      <c r="B24" s="28" t="s">
        <v>4</v>
      </c>
      <c r="C24" s="48"/>
      <c r="D24" s="32">
        <f>C24*C8</f>
        <v>0</v>
      </c>
      <c r="E24" s="28" t="s">
        <v>4</v>
      </c>
      <c r="F24" s="48"/>
      <c r="G24" s="32">
        <f>C8*F24</f>
        <v>0</v>
      </c>
    </row>
    <row r="25" spans="3:7" ht="13.5">
      <c r="C25" s="36"/>
      <c r="D25" s="15"/>
      <c r="E25" s="15"/>
      <c r="F25" s="15"/>
      <c r="G25" s="15"/>
    </row>
    <row r="26" spans="2:7" ht="13.5">
      <c r="B26" s="37" t="s">
        <v>5</v>
      </c>
      <c r="C26" s="38"/>
      <c r="D26" s="39">
        <f>SUM(D15:D24)</f>
        <v>0</v>
      </c>
      <c r="G26" s="39">
        <f>SUM(G15:G24)</f>
        <v>0</v>
      </c>
    </row>
    <row r="27" spans="3:7" ht="13.5">
      <c r="C27" s="15"/>
      <c r="D27" s="15"/>
      <c r="E27" s="15"/>
      <c r="F27" s="15"/>
      <c r="G27" s="15"/>
    </row>
    <row r="28" spans="3:7" ht="13.5">
      <c r="C28" s="15"/>
      <c r="D28" s="15"/>
      <c r="E28" s="15"/>
      <c r="F28" s="15"/>
      <c r="G28" s="15"/>
    </row>
    <row r="29" spans="2:7" ht="13.5">
      <c r="B29" s="40" t="s">
        <v>10</v>
      </c>
      <c r="C29" s="39">
        <f>IF((3%*C7+7%*C8)&lt;3%*8*C8,3%*C7+7%*C8,3%*8*C8)</f>
        <v>3245.76</v>
      </c>
      <c r="D29" s="15"/>
      <c r="E29" s="35" t="s">
        <v>35</v>
      </c>
      <c r="F29" s="35"/>
      <c r="G29" s="46">
        <f>C29-(D26+G26)</f>
        <v>3245.76</v>
      </c>
    </row>
    <row r="30" spans="1:7" ht="15">
      <c r="A30" s="76" t="s">
        <v>63</v>
      </c>
      <c r="B30" s="37" t="s">
        <v>38</v>
      </c>
      <c r="C30" s="60"/>
      <c r="D30" s="15"/>
      <c r="E30" s="15"/>
      <c r="F30" s="15"/>
      <c r="G30" s="60" t="str">
        <f>"pour "&amp;'VARIABLE DE CALCUL'!$F$16</f>
        <v>pour 2024</v>
      </c>
    </row>
    <row r="31" spans="2:7" ht="13.5">
      <c r="B31" s="37" t="str">
        <f>"maxi 3% x 8 PASS soit "&amp;'VARIABLE DE CALCUL'!F14*8*3%&amp;" € en "&amp;'VARIABLE DE CALCUL'!F16&amp;")"</f>
        <v>maxi 3% x 8 PASS soit 11128,32 € en 2024)</v>
      </c>
      <c r="C31" s="15"/>
      <c r="D31" s="15"/>
      <c r="E31" s="15"/>
      <c r="F31" s="15"/>
      <c r="G31" s="15"/>
    </row>
    <row r="32" spans="3:7" ht="13.5">
      <c r="C32" s="15"/>
      <c r="D32" s="15"/>
      <c r="E32" s="15"/>
      <c r="F32" s="15"/>
      <c r="G32" s="15"/>
    </row>
    <row r="33" spans="2:7" ht="13.5">
      <c r="B33" s="40" t="s">
        <v>15</v>
      </c>
      <c r="C33" s="39">
        <f>IF(C7*1.5%+6%*C8&lt;12%*C8,C7*1.5%+6%*C8,12%*C8)</f>
        <v>2782.08</v>
      </c>
      <c r="D33" s="15"/>
      <c r="E33" s="35" t="s">
        <v>36</v>
      </c>
      <c r="F33" s="35"/>
      <c r="G33" s="46">
        <f>C33-D26</f>
        <v>2782.08</v>
      </c>
    </row>
    <row r="34" spans="1:7" ht="15.75">
      <c r="A34" s="76" t="s">
        <v>63</v>
      </c>
      <c r="B34" s="37" t="s">
        <v>39</v>
      </c>
      <c r="C34" s="61"/>
      <c r="D34" s="15"/>
      <c r="E34" s="15"/>
      <c r="F34" s="15"/>
      <c r="G34" s="60" t="str">
        <f>"pour "&amp;'VARIABLE DE CALCUL'!$F$16</f>
        <v>pour 2024</v>
      </c>
    </row>
    <row r="35" spans="2:7" ht="13.5">
      <c r="B35" s="37" t="str">
        <f>"maxi 12% PASS soit "&amp;'VARIABLE DE CALCUL'!F14*12%&amp;" € en "&amp;'VARIABLE DE CALCUL'!F16&amp;")"</f>
        <v>maxi 12% PASS soit 5564,16 € en 2024)</v>
      </c>
      <c r="C35" s="15"/>
      <c r="D35" s="15"/>
      <c r="E35" s="15"/>
      <c r="F35" s="15"/>
      <c r="G35" s="15"/>
    </row>
    <row r="36" spans="3:7" ht="13.5">
      <c r="C36" s="15"/>
      <c r="D36" s="15"/>
      <c r="E36" s="15"/>
      <c r="F36" s="15"/>
      <c r="G36" s="15"/>
    </row>
    <row r="37" spans="3:7" ht="13.5">
      <c r="C37" s="15"/>
      <c r="D37" s="15"/>
      <c r="E37" s="15"/>
      <c r="F37" s="15"/>
      <c r="G37" s="15"/>
    </row>
    <row r="38" spans="3:7" ht="13.5">
      <c r="C38" s="15"/>
      <c r="D38" s="15"/>
      <c r="E38" s="15"/>
      <c r="F38" s="15"/>
      <c r="G38" s="15"/>
    </row>
    <row r="39" spans="3:7" ht="13.5">
      <c r="C39" s="15"/>
      <c r="D39" s="15"/>
      <c r="E39" s="15"/>
      <c r="F39" s="15"/>
      <c r="G39" s="15"/>
    </row>
    <row r="40" spans="3:7" ht="13.5">
      <c r="C40" s="15"/>
      <c r="D40" s="15"/>
      <c r="E40" s="15"/>
      <c r="F40" s="15"/>
      <c r="G40" s="15"/>
    </row>
    <row r="41" spans="3:7" ht="13.5">
      <c r="C41" s="15"/>
      <c r="D41" s="15"/>
      <c r="E41" s="15"/>
      <c r="F41" s="15"/>
      <c r="G41" s="15"/>
    </row>
    <row r="42" spans="3:7" ht="13.5">
      <c r="C42" s="15"/>
      <c r="D42" s="15"/>
      <c r="E42" s="15"/>
      <c r="F42" s="15"/>
      <c r="G42" s="15"/>
    </row>
    <row r="43" spans="3:7" ht="13.5">
      <c r="C43" s="15"/>
      <c r="D43" s="15"/>
      <c r="E43" s="15"/>
      <c r="F43" s="15"/>
      <c r="G43" s="15"/>
    </row>
  </sheetData>
  <sheetProtection password="89A5" sheet="1"/>
  <mergeCells count="2">
    <mergeCell ref="C5:E5"/>
    <mergeCell ref="C1:D1"/>
  </mergeCells>
  <hyperlinks>
    <hyperlink ref="C1:D1" location="'VARIABLE DE CALCUL'!A1" display="RETOUR MENU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zoomScaleSheetLayoutView="100" zoomScalePageLayoutView="0" workbookViewId="0" topLeftCell="A1">
      <selection activeCell="E8" sqref="E8"/>
    </sheetView>
  </sheetViews>
  <sheetFormatPr defaultColWidth="11.421875" defaultRowHeight="12.75"/>
  <cols>
    <col min="1" max="1" width="11.421875" style="2" customWidth="1"/>
    <col min="2" max="2" width="12.28125" style="2" customWidth="1"/>
    <col min="3" max="3" width="35.57421875" style="2" customWidth="1"/>
    <col min="4" max="4" width="13.421875" style="2" customWidth="1"/>
    <col min="5" max="5" width="26.28125" style="2" customWidth="1"/>
    <col min="6" max="6" width="33.8515625" style="2" customWidth="1"/>
    <col min="7" max="7" width="15.7109375" style="2" customWidth="1"/>
    <col min="8" max="16384" width="11.421875" style="2" customWidth="1"/>
  </cols>
  <sheetData>
    <row r="1" spans="4:5" ht="15">
      <c r="D1" s="116" t="s">
        <v>49</v>
      </c>
      <c r="E1" s="116"/>
    </row>
    <row r="2" ht="15"/>
    <row r="3" ht="15"/>
    <row r="4" ht="15"/>
    <row r="5" spans="3:5" ht="15">
      <c r="C5" s="119" t="s">
        <v>69</v>
      </c>
      <c r="D5" s="119"/>
      <c r="E5" s="119"/>
    </row>
    <row r="6" spans="3:8" ht="15">
      <c r="C6" s="19"/>
      <c r="D6" s="19"/>
      <c r="E6" s="19"/>
      <c r="H6" s="72" t="e">
        <f>'VARIABLE DE CALCUL'!#REF!</f>
        <v>#REF!</v>
      </c>
    </row>
    <row r="7" spans="3:8" ht="15">
      <c r="C7" s="19"/>
      <c r="D7" s="19"/>
      <c r="E7" s="19"/>
      <c r="H7" s="72"/>
    </row>
    <row r="8" spans="3:8" ht="15">
      <c r="C8" s="124" t="s">
        <v>67</v>
      </c>
      <c r="D8" s="125"/>
      <c r="E8" s="74"/>
      <c r="F8" s="65" t="s">
        <v>68</v>
      </c>
      <c r="G8" s="6"/>
      <c r="H8" s="72"/>
    </row>
    <row r="9" spans="3:7" ht="15">
      <c r="C9" s="5" t="s">
        <v>0</v>
      </c>
      <c r="D9" s="4"/>
      <c r="E9" s="7">
        <f>'VARIABLE DE CALCUL'!F14</f>
        <v>46368</v>
      </c>
      <c r="G9" s="6"/>
    </row>
    <row r="10" spans="4:7" ht="15">
      <c r="D10" s="6"/>
      <c r="E10" s="6"/>
      <c r="G10" s="6"/>
    </row>
    <row r="11" spans="3:7" ht="15">
      <c r="C11" s="122" t="s">
        <v>17</v>
      </c>
      <c r="D11" s="123"/>
      <c r="E11" s="17"/>
      <c r="F11" s="8" t="str">
        <f>"(MAXI 16% PASS soit "&amp;E9*16%&amp;" €en "&amp;'VARIABLE DE CALCUL'!F16&amp;")"</f>
        <v>(MAXI 16% PASS soit 7418,88 €en 2024)</v>
      </c>
      <c r="G11" s="6"/>
    </row>
    <row r="12" spans="4:7" ht="15">
      <c r="D12" s="6"/>
      <c r="E12" s="6"/>
      <c r="G12" s="6"/>
    </row>
    <row r="13" spans="3:7" ht="15">
      <c r="C13" s="120" t="s">
        <v>61</v>
      </c>
      <c r="D13" s="121"/>
      <c r="E13" s="17"/>
      <c r="G13" s="6"/>
    </row>
    <row r="14" spans="4:7" ht="15">
      <c r="D14" s="11"/>
      <c r="E14" s="6"/>
      <c r="F14" s="6"/>
      <c r="G14" s="6"/>
    </row>
    <row r="15" spans="4:7" ht="15">
      <c r="D15" s="6"/>
      <c r="E15" s="6"/>
      <c r="F15" s="6"/>
      <c r="G15" s="6"/>
    </row>
    <row r="16" spans="5:7" ht="15">
      <c r="E16" s="14" t="s">
        <v>59</v>
      </c>
      <c r="F16" s="6"/>
      <c r="G16" s="6"/>
    </row>
    <row r="17" spans="3:6" ht="15">
      <c r="C17" s="3" t="s">
        <v>10</v>
      </c>
      <c r="D17" s="70">
        <f>IF(E8&lt;8*E9,10%*E8+15%*(E8-E9),10%*8*E9+15%*7*E9)</f>
        <v>-6955.2</v>
      </c>
      <c r="E17" s="69">
        <f>IF(D17&lt;(E8*10%),E9*10%,D17)</f>
        <v>4636.8</v>
      </c>
      <c r="F17" s="62" t="str">
        <f>"pour "&amp;'VARIABLE DE CALCUL'!$F$16</f>
        <v>pour 2024</v>
      </c>
    </row>
    <row r="18" spans="2:7" ht="15">
      <c r="B18" s="76" t="s">
        <v>63</v>
      </c>
      <c r="C18" s="65" t="str">
        <f>"(10% revenu MAXI 8 PASS + 15% revenu compris entre 1 et 8 PASS soit "&amp;(E9*8*10%)+(E9*7*15%)&amp;" € en "&amp;'VARIABLE DE CALCUL'!F16&amp;")"</f>
        <v>(10% revenu MAXI 8 PASS + 15% revenu compris entre 1 et 8 PASS soit 85780,8 € en 2024)</v>
      </c>
      <c r="D18" s="68"/>
      <c r="E18" s="65"/>
      <c r="F18" s="6"/>
      <c r="G18" s="6"/>
    </row>
    <row r="19" ht="15">
      <c r="C19" s="65" t="str">
        <f>"MINI 10 % PASS soit "&amp;E9*10%&amp;" en "&amp;'VARIABLE DE CALCUL'!F16&amp;" si le revenu est inférieur à "&amp;E9&amp;" €"</f>
        <v>MINI 10 % PASS soit 4636,8 en 2024 si le revenu est inférieur à 46368 €</v>
      </c>
    </row>
    <row r="20" ht="15">
      <c r="C20" s="65"/>
    </row>
    <row r="21" spans="3:6" ht="15">
      <c r="C21" s="14" t="s">
        <v>23</v>
      </c>
      <c r="D21" s="117">
        <f>E17-E11-E13</f>
        <v>4636.8</v>
      </c>
      <c r="E21" s="118"/>
      <c r="F21" s="66" t="str">
        <f>"  pour "&amp;'VARIABLE DE CALCUL'!$F$16&amp;" compte tenu de l'abondement PERCO et du versement déjà effectué"</f>
        <v>  pour 2024 compte tenu de l'abondement PERCO et du versement déjà effectué</v>
      </c>
    </row>
    <row r="24" spans="2:7" ht="15">
      <c r="B24" s="2" t="s">
        <v>41</v>
      </c>
      <c r="G24" s="15"/>
    </row>
    <row r="25" spans="2:7" ht="15">
      <c r="B25" s="16" t="s">
        <v>66</v>
      </c>
      <c r="C25" s="15"/>
      <c r="D25" s="15"/>
      <c r="E25" s="15"/>
      <c r="F25" s="15"/>
      <c r="G25" s="15"/>
    </row>
    <row r="26" spans="2:7" ht="15">
      <c r="B26" s="37"/>
      <c r="C26" s="15"/>
      <c r="D26" s="15"/>
      <c r="E26" s="15"/>
      <c r="F26" s="15"/>
      <c r="G26" s="15"/>
    </row>
    <row r="27" spans="2:6" ht="15">
      <c r="B27" s="16"/>
      <c r="C27" s="15"/>
      <c r="D27" s="15"/>
      <c r="E27" s="15"/>
      <c r="F27" s="15"/>
    </row>
    <row r="28" ht="15">
      <c r="E28" s="6"/>
    </row>
  </sheetData>
  <sheetProtection/>
  <mergeCells count="6">
    <mergeCell ref="D21:E21"/>
    <mergeCell ref="C5:E5"/>
    <mergeCell ref="D1:E1"/>
    <mergeCell ref="C13:D13"/>
    <mergeCell ref="C11:D11"/>
    <mergeCell ref="C8:D8"/>
  </mergeCells>
  <hyperlinks>
    <hyperlink ref="D1:E1" location="'VARIABLE DE CALCUL'!A1" display="RETOUR MENU"/>
  </hyperlinks>
  <printOptions/>
  <pageMargins left="0.22" right="0.18" top="0.35" bottom="0.26" header="0.23" footer="0.14"/>
  <pageSetup fitToHeight="1" fitToWidth="1" horizontalDpi="600" verticalDpi="600" orientation="landscape" paperSize="9" scale="90" r:id="rId2"/>
  <colBreaks count="1" manualBreakCount="1">
    <brk id="8" max="65535" man="1"/>
  </colBreaks>
  <ignoredErrors>
    <ignoredError sqref="H6" evalError="1"/>
    <ignoredError sqref="E9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5"/>
  <sheetViews>
    <sheetView zoomScalePageLayoutView="0" workbookViewId="0" topLeftCell="A1">
      <selection activeCell="F34" sqref="F34"/>
    </sheetView>
  </sheetViews>
  <sheetFormatPr defaultColWidth="11.421875" defaultRowHeight="12.75"/>
  <cols>
    <col min="1" max="2" width="11.421875" style="2" customWidth="1"/>
    <col min="3" max="3" width="35.57421875" style="2" customWidth="1"/>
    <col min="4" max="4" width="14.140625" style="2" customWidth="1"/>
    <col min="5" max="5" width="26.28125" style="2" customWidth="1"/>
    <col min="6" max="6" width="33.8515625" style="2" customWidth="1"/>
    <col min="7" max="16384" width="11.421875" style="2" customWidth="1"/>
  </cols>
  <sheetData>
    <row r="1" spans="4:5" ht="15">
      <c r="D1" s="116" t="s">
        <v>49</v>
      </c>
      <c r="E1" s="116"/>
    </row>
    <row r="2" ht="15"/>
    <row r="3" ht="15"/>
    <row r="4" spans="4:5" ht="15">
      <c r="D4" s="45"/>
      <c r="E4" s="45"/>
    </row>
    <row r="5" spans="3:5" ht="15">
      <c r="C5" s="126" t="s">
        <v>51</v>
      </c>
      <c r="D5" s="126"/>
      <c r="E5" s="126"/>
    </row>
    <row r="6" spans="3:8" ht="15">
      <c r="C6" s="19"/>
      <c r="D6" s="19"/>
      <c r="E6" s="19"/>
      <c r="H6" s="72" t="e">
        <f>'VARIABLE DE CALCUL'!#REF!</f>
        <v>#REF!</v>
      </c>
    </row>
    <row r="7" spans="3:8" ht="15">
      <c r="C7" s="129" t="s">
        <v>62</v>
      </c>
      <c r="D7" s="130"/>
      <c r="E7" s="78"/>
      <c r="F7" s="6"/>
      <c r="G7" s="6"/>
      <c r="H7" s="73"/>
    </row>
    <row r="8" spans="3:8" ht="15">
      <c r="C8" s="127" t="s">
        <v>0</v>
      </c>
      <c r="D8" s="128"/>
      <c r="E8" s="7">
        <f>'VARIABLE DE CALCUL'!F14</f>
        <v>46368</v>
      </c>
      <c r="F8" s="6"/>
      <c r="G8" s="6"/>
      <c r="H8" s="72" t="e">
        <f>#REF!*0.9</f>
        <v>#REF!</v>
      </c>
    </row>
    <row r="9" spans="3:7" ht="15">
      <c r="C9" s="41" t="s">
        <v>9</v>
      </c>
      <c r="D9" s="50">
        <v>0</v>
      </c>
      <c r="E9" s="21">
        <f>D9*E8</f>
        <v>0</v>
      </c>
      <c r="F9" s="42"/>
      <c r="G9" s="6"/>
    </row>
    <row r="10" spans="4:7" ht="15">
      <c r="D10" s="6"/>
      <c r="E10" s="6"/>
      <c r="F10" s="8"/>
      <c r="G10" s="6"/>
    </row>
    <row r="11" spans="4:7" ht="15">
      <c r="D11" s="6"/>
      <c r="E11" s="6"/>
      <c r="F11" s="6"/>
      <c r="G11" s="6"/>
    </row>
    <row r="12" spans="3:7" ht="15">
      <c r="C12" s="12" t="s">
        <v>16</v>
      </c>
      <c r="D12" s="21"/>
      <c r="E12" s="24" t="s">
        <v>3</v>
      </c>
      <c r="F12" s="6"/>
      <c r="G12" s="6"/>
    </row>
    <row r="13" spans="3:7" ht="15">
      <c r="C13" s="20" t="s">
        <v>8</v>
      </c>
      <c r="D13" s="51">
        <v>0</v>
      </c>
      <c r="E13" s="21">
        <f>$E$9*D13</f>
        <v>0</v>
      </c>
      <c r="F13" s="6"/>
      <c r="G13" s="6"/>
    </row>
    <row r="14" spans="3:7" ht="15">
      <c r="C14" s="20" t="s">
        <v>7</v>
      </c>
      <c r="D14" s="51">
        <v>0</v>
      </c>
      <c r="E14" s="21">
        <f>$E$9*D14</f>
        <v>0</v>
      </c>
      <c r="F14" s="6"/>
      <c r="G14" s="6"/>
    </row>
    <row r="15" spans="3:7" ht="15">
      <c r="C15" s="20" t="s">
        <v>6</v>
      </c>
      <c r="D15" s="51">
        <v>0</v>
      </c>
      <c r="E15" s="21">
        <f>$E$9*D15</f>
        <v>0</v>
      </c>
      <c r="F15" s="6"/>
      <c r="G15" s="6"/>
    </row>
    <row r="16" spans="3:7" ht="15">
      <c r="C16" s="20" t="s">
        <v>4</v>
      </c>
      <c r="D16" s="51">
        <v>0</v>
      </c>
      <c r="E16" s="21">
        <f>$E8*D16</f>
        <v>0</v>
      </c>
      <c r="F16" s="6"/>
      <c r="G16" s="6"/>
    </row>
    <row r="17" spans="4:7" ht="15">
      <c r="D17" s="11"/>
      <c r="E17" s="6"/>
      <c r="F17" s="6"/>
      <c r="G17" s="6"/>
    </row>
    <row r="18" spans="3:5" ht="15">
      <c r="C18" s="3" t="s">
        <v>5</v>
      </c>
      <c r="D18" s="43"/>
      <c r="E18" s="13">
        <f>SUM(E13:E16)</f>
        <v>0</v>
      </c>
    </row>
    <row r="19" spans="4:7" ht="15">
      <c r="D19" s="6"/>
      <c r="E19" s="6"/>
      <c r="F19" s="6"/>
      <c r="G19" s="6"/>
    </row>
    <row r="20" spans="5:7" ht="15">
      <c r="E20" s="6"/>
      <c r="F20" s="6"/>
      <c r="G20" s="6"/>
    </row>
    <row r="21" spans="3:5" ht="15">
      <c r="C21" s="12" t="s">
        <v>57</v>
      </c>
      <c r="D21" s="13">
        <f>IF((3.75%*E7+7%*E8)&lt;3%*8*E8,3.75%*E7+7%*E8,3%*8*E8)</f>
        <v>3245.76</v>
      </c>
      <c r="E21" s="62" t="str">
        <f>" maxi pour "&amp;'VARIABLE DE CALCUL'!$F$16&amp;" compte tenu du revenu indiqué"</f>
        <v> maxi pour 2024 compte tenu du revenu indiqué</v>
      </c>
    </row>
    <row r="22" spans="2:7" ht="15">
      <c r="B22" s="76" t="s">
        <v>63</v>
      </c>
      <c r="C22" s="65" t="s">
        <v>33</v>
      </c>
      <c r="D22" s="6"/>
      <c r="E22" s="6"/>
      <c r="F22" s="6"/>
      <c r="G22" s="6"/>
    </row>
    <row r="23" ht="15">
      <c r="C23" s="65" t="str">
        <f>"maxi 3 % de 8 PASS soit "&amp;E8*8*3%&amp;" € en "&amp;'VARIABLE DE CALCUL'!F16&amp;")"</f>
        <v>maxi 3 % de 8 PASS soit 11128,32 € en 2024)</v>
      </c>
    </row>
    <row r="25" spans="3:5" ht="15">
      <c r="C25" s="12" t="s">
        <v>58</v>
      </c>
      <c r="D25" s="13">
        <f>IF((1.875%*E7)&lt;3%*8*E8,1.875%*E7,3%*8*E8)</f>
        <v>0</v>
      </c>
      <c r="E25" s="62" t="str">
        <f>" maxi pour "&amp;'VARIABLE DE CALCUL'!$F$16&amp;" compte tenu du revenu indiqué"</f>
        <v> maxi pour 2024 compte tenu du revenu indiqué</v>
      </c>
    </row>
    <row r="26" spans="2:5" ht="15">
      <c r="B26" s="75" t="s">
        <v>63</v>
      </c>
      <c r="C26" s="65" t="str">
        <f>"(1,875% revenu avec maxi 3% de 8 PASS soit "&amp;E8*8*3%&amp;" € en "&amp;'VARIABLE DE CALCUL'!F16&amp;")"</f>
        <v>(1,875% revenu avec maxi 3% de 8 PASS soit 11128,32 € en 2024)</v>
      </c>
      <c r="D26" s="68"/>
      <c r="E26" s="62"/>
    </row>
    <row r="27" ht="15">
      <c r="C27" s="65" t="str">
        <f>"et plancher de 2,5 % PASS soit "&amp;E8*2.5%&amp;" € en "&amp;'VARIABLE DE CALCUL'!F16&amp;")"</f>
        <v>et plancher de 2,5 % PASS soit 1159,2 € en 2024)</v>
      </c>
    </row>
    <row r="30" spans="3:5" ht="15">
      <c r="C30" s="14" t="s">
        <v>34</v>
      </c>
      <c r="D30" s="18">
        <f>D21-E18</f>
        <v>3245.76</v>
      </c>
      <c r="E30" s="62" t="str">
        <f>" en prévoyance pour "&amp;'VARIABLE DE CALCUL'!$F$16</f>
        <v> en prévoyance pour 2024</v>
      </c>
    </row>
    <row r="33" spans="2:7" ht="15">
      <c r="B33" s="16" t="s">
        <v>42</v>
      </c>
      <c r="C33" s="15"/>
      <c r="D33" s="15"/>
      <c r="E33" s="15"/>
      <c r="F33" s="15"/>
      <c r="G33" s="15"/>
    </row>
    <row r="34" spans="2:7" ht="15">
      <c r="B34" s="37" t="s">
        <v>60</v>
      </c>
      <c r="C34" s="15"/>
      <c r="D34" s="15"/>
      <c r="E34" s="15"/>
      <c r="F34" s="15"/>
      <c r="G34" s="15"/>
    </row>
    <row r="35" spans="2:7" ht="15">
      <c r="B35" s="16"/>
      <c r="C35" s="15"/>
      <c r="D35" s="15"/>
      <c r="E35" s="15"/>
      <c r="F35" s="15"/>
      <c r="G35" s="15"/>
    </row>
  </sheetData>
  <sheetProtection password="89A5" sheet="1"/>
  <mergeCells count="4">
    <mergeCell ref="C5:E5"/>
    <mergeCell ref="D1:E1"/>
    <mergeCell ref="C8:D8"/>
    <mergeCell ref="C7:D7"/>
  </mergeCells>
  <hyperlinks>
    <hyperlink ref="D1:E1" location="'VARIABLE DE CALCUL'!A1" display="RETOUR MENU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zoomScaleSheetLayoutView="100" zoomScalePageLayoutView="0" workbookViewId="0" topLeftCell="A1">
      <selection activeCell="I10" sqref="I10"/>
    </sheetView>
  </sheetViews>
  <sheetFormatPr defaultColWidth="11.421875" defaultRowHeight="12.75"/>
  <cols>
    <col min="1" max="1" width="11.421875" style="2" customWidth="1"/>
    <col min="2" max="2" width="12.28125" style="2" customWidth="1"/>
    <col min="3" max="3" width="35.57421875" style="2" customWidth="1"/>
    <col min="4" max="4" width="13.421875" style="2" customWidth="1"/>
    <col min="5" max="5" width="26.28125" style="2" customWidth="1"/>
    <col min="6" max="6" width="33.8515625" style="2" customWidth="1"/>
    <col min="7" max="7" width="15.7109375" style="2" customWidth="1"/>
    <col min="8" max="16384" width="11.421875" style="2" customWidth="1"/>
  </cols>
  <sheetData>
    <row r="1" spans="4:5" ht="15">
      <c r="D1" s="116" t="s">
        <v>49</v>
      </c>
      <c r="E1" s="116"/>
    </row>
    <row r="2" ht="15"/>
    <row r="3" ht="15"/>
    <row r="4" ht="15"/>
    <row r="5" spans="3:5" ht="15">
      <c r="C5" s="119" t="s">
        <v>73</v>
      </c>
      <c r="D5" s="119"/>
      <c r="E5" s="119"/>
    </row>
    <row r="6" spans="3:8" ht="15">
      <c r="C6" s="19"/>
      <c r="D6" s="19"/>
      <c r="E6" s="19"/>
      <c r="H6" s="72" t="e">
        <f>'VARIABLE DE CALCUL'!#REF!</f>
        <v>#REF!</v>
      </c>
    </row>
    <row r="7" spans="3:8" ht="15">
      <c r="C7" s="19"/>
      <c r="D7" s="19"/>
      <c r="E7" s="19"/>
      <c r="H7" s="72"/>
    </row>
    <row r="8" spans="3:8" ht="33" customHeight="1">
      <c r="C8" s="131" t="s">
        <v>72</v>
      </c>
      <c r="D8" s="132"/>
      <c r="E8" s="82"/>
      <c r="F8" s="65"/>
      <c r="G8" s="6"/>
      <c r="H8" s="72"/>
    </row>
    <row r="9" spans="3:7" ht="15">
      <c r="C9" s="5" t="s">
        <v>0</v>
      </c>
      <c r="D9" s="4"/>
      <c r="E9" s="7">
        <f>'VARIABLE DE CALCUL'!F14</f>
        <v>46368</v>
      </c>
      <c r="G9" s="6"/>
    </row>
    <row r="10" spans="4:7" ht="15">
      <c r="D10" s="6"/>
      <c r="E10" s="6"/>
      <c r="G10" s="6"/>
    </row>
    <row r="11" spans="3:7" ht="15">
      <c r="C11" s="122" t="s">
        <v>17</v>
      </c>
      <c r="D11" s="123"/>
      <c r="E11" s="17"/>
      <c r="F11" s="8" t="str">
        <f>"(MAXI 16% PASS soit "&amp;E9*16%&amp;" €en "&amp;'VARIABLE DE CALCUL'!F16&amp;")"</f>
        <v>(MAXI 16% PASS soit 7418,88 €en 2024)</v>
      </c>
      <c r="G11" s="6"/>
    </row>
    <row r="12" spans="4:7" ht="15">
      <c r="D12" s="6"/>
      <c r="E12" s="6"/>
      <c r="G12" s="6"/>
    </row>
    <row r="13" spans="3:7" ht="42.75" customHeight="1">
      <c r="C13" s="133" t="s">
        <v>74</v>
      </c>
      <c r="D13" s="134"/>
      <c r="E13" s="83"/>
      <c r="G13" s="6"/>
    </row>
    <row r="14" spans="4:7" ht="15">
      <c r="D14" s="11"/>
      <c r="E14" s="6"/>
      <c r="F14" s="6"/>
      <c r="G14" s="6"/>
    </row>
    <row r="15" spans="4:7" ht="15">
      <c r="D15" s="6"/>
      <c r="E15" s="6"/>
      <c r="F15" s="6"/>
      <c r="G15" s="6"/>
    </row>
    <row r="16" spans="5:7" ht="15">
      <c r="E16" s="14" t="s">
        <v>59</v>
      </c>
      <c r="F16" s="6"/>
      <c r="G16" s="6"/>
    </row>
    <row r="17" spans="3:6" ht="15">
      <c r="C17" s="3" t="s">
        <v>10</v>
      </c>
      <c r="D17" s="70">
        <f>IF(E8&lt;8*E9,10%*E8+10%*(E8-E9),10%*8*E9+10%*7*E9)</f>
        <v>-4636.8</v>
      </c>
      <c r="E17" s="69">
        <f>IF(D17&lt;(E8*10%),E9*10%,D17)</f>
        <v>4636.8</v>
      </c>
      <c r="F17" s="62" t="str">
        <f>"pour "&amp;'VARIABLE DE CALCUL'!$F$16</f>
        <v>pour 2024</v>
      </c>
    </row>
    <row r="18" spans="2:7" ht="15">
      <c r="B18" s="76" t="s">
        <v>63</v>
      </c>
      <c r="C18" s="65" t="str">
        <f>"(10% revenu MAXI 8 PASS soit "&amp;(E9*8*10%)+(E9*7*10%)&amp;" € en "&amp;'VARIABLE DE CALCUL'!F16&amp;")"</f>
        <v>(10% revenu MAXI 8 PASS soit 69552 € en 2024)</v>
      </c>
      <c r="D18" s="68"/>
      <c r="E18" s="65"/>
      <c r="F18" s="6"/>
      <c r="G18" s="6"/>
    </row>
    <row r="19" ht="15">
      <c r="C19" s="65" t="str">
        <f>"MINI 10 % PASS soit "&amp;E9*10%&amp;" en "&amp;'VARIABLE DE CALCUL'!F16&amp;" si le revenu est inférieur à "&amp;E9&amp;" €"</f>
        <v>MINI 10 % PASS soit 4636,8 en 2024 si le revenu est inférieur à 46368 €</v>
      </c>
    </row>
    <row r="20" ht="15">
      <c r="C20" s="65"/>
    </row>
    <row r="21" spans="3:6" ht="15">
      <c r="C21" s="14" t="s">
        <v>23</v>
      </c>
      <c r="D21" s="117">
        <f>E17-E11-E13</f>
        <v>4636.8</v>
      </c>
      <c r="E21" s="118"/>
      <c r="F21" s="66" t="str">
        <f>"  pour "&amp;'VARIABLE DE CALCUL'!$F$16&amp;" compte tenu de l'abondement PERCO et du versement déjà effectué"</f>
        <v>  pour 2024 compte tenu de l'abondement PERCO et du versement déjà effectué</v>
      </c>
    </row>
    <row r="24" spans="2:7" ht="15">
      <c r="B24" s="2" t="s">
        <v>41</v>
      </c>
      <c r="G24" s="15"/>
    </row>
    <row r="25" spans="2:7" ht="15">
      <c r="B25" s="16"/>
      <c r="C25" s="15"/>
      <c r="D25" s="15"/>
      <c r="E25" s="15"/>
      <c r="F25" s="15"/>
      <c r="G25" s="15"/>
    </row>
    <row r="26" spans="2:7" ht="15">
      <c r="B26" s="37"/>
      <c r="C26" s="15"/>
      <c r="D26" s="15"/>
      <c r="E26" s="15"/>
      <c r="F26" s="15"/>
      <c r="G26" s="15"/>
    </row>
    <row r="27" spans="2:6" ht="15">
      <c r="B27" s="16"/>
      <c r="C27" s="15"/>
      <c r="D27" s="15"/>
      <c r="E27" s="15"/>
      <c r="F27" s="15"/>
    </row>
    <row r="28" ht="15">
      <c r="E28" s="6"/>
    </row>
  </sheetData>
  <sheetProtection/>
  <mergeCells count="6">
    <mergeCell ref="D1:E1"/>
    <mergeCell ref="C5:E5"/>
    <mergeCell ref="C8:D8"/>
    <mergeCell ref="C11:D11"/>
    <mergeCell ref="C13:D13"/>
    <mergeCell ref="D21:E21"/>
  </mergeCells>
  <hyperlinks>
    <hyperlink ref="D1:E1" location="'VARIABLE DE CALCUL'!A1" display="RETOUR MENU"/>
  </hyperlinks>
  <printOptions/>
  <pageMargins left="0.22" right="0.18" top="0.35" bottom="0.26" header="0.23" footer="0.14"/>
  <pageSetup fitToHeight="1" fitToWidth="1" horizontalDpi="600" verticalDpi="600" orientation="landscape" paperSize="9" scale="90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cdeverlange@auditium.fr</Manager>
  <Company>DEA AUDITIUM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CALCULS DISPONIBLES</dc:title>
  <dc:subject/>
  <dc:creator>C. d'Everlange</dc:creator>
  <cp:keywords>DISPONIBLES FISCAUX ET SOCIAUX</cp:keywords>
  <dc:description>04 72 41 78 32</dc:description>
  <cp:lastModifiedBy>CYRIL-BEELINK</cp:lastModifiedBy>
  <cp:lastPrinted>2012-12-21T10:16:13Z</cp:lastPrinted>
  <dcterms:created xsi:type="dcterms:W3CDTF">2008-06-26T16:07:05Z</dcterms:created>
  <dcterms:modified xsi:type="dcterms:W3CDTF">2024-01-30T16:14:48Z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CALCUL DES DISPONIBLES</vt:lpwstr>
  </property>
  <property fmtid="{D5CDD505-2E9C-101B-9397-08002B2CF9AE}" pid="3" name="_AuthorEmail">
    <vt:lpwstr>cdeverlange@auditium.fr</vt:lpwstr>
  </property>
  <property fmtid="{D5CDD505-2E9C-101B-9397-08002B2CF9AE}" pid="4" name="_AuthorEmailDisplayName">
    <vt:lpwstr>04 72 41 78 32</vt:lpwstr>
  </property>
</Properties>
</file>